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sazea\Desktop\MECH390F25\"/>
    </mc:Choice>
  </mc:AlternateContent>
  <xr:revisionPtr revIDLastSave="0" documentId="13_ncr:1_{5248CC3F-8CDC-4ABA-B415-EBA0C8FE3EA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pur Gear Desig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4" i="1" l="1"/>
  <c r="L75" i="1" s="1"/>
  <c r="L76" i="1" s="1"/>
  <c r="D74" i="1"/>
  <c r="D75" i="1" s="1"/>
  <c r="D76" i="1" s="1"/>
  <c r="D66" i="1"/>
  <c r="C62" i="1"/>
  <c r="K61" i="1"/>
  <c r="C61" i="1"/>
  <c r="N33" i="1"/>
  <c r="F33" i="1"/>
  <c r="F30" i="1"/>
  <c r="N28" i="1"/>
  <c r="N26" i="1" s="1"/>
  <c r="F28" i="1"/>
  <c r="N18" i="1"/>
  <c r="F18" i="1"/>
  <c r="F34" i="1" s="1" a="1"/>
  <c r="F34" i="1" s="1"/>
  <c r="N16" i="1"/>
  <c r="F16" i="1"/>
  <c r="N7" i="1"/>
  <c r="F7" i="1"/>
  <c r="N3" i="1"/>
  <c r="F26" i="1" l="1"/>
  <c r="B64" i="1"/>
  <c r="D64" i="1" s="1"/>
  <c r="N41" i="1"/>
  <c r="N8" i="1"/>
  <c r="L78" i="1"/>
  <c r="D78" i="1"/>
  <c r="D67" i="1"/>
  <c r="D68" i="1"/>
  <c r="F35" i="1" s="1"/>
  <c r="D69" i="1"/>
  <c r="D70" i="1"/>
  <c r="N19" i="1"/>
  <c r="N34" i="1" a="1"/>
  <c r="N34" i="1" s="1"/>
  <c r="F8" i="1"/>
  <c r="F41" i="1"/>
  <c r="N5" i="1" l="1"/>
  <c r="L77" i="1"/>
  <c r="N37" i="1" s="1"/>
  <c r="F5" i="1"/>
  <c r="D77" i="1"/>
  <c r="F37" i="1" s="1"/>
  <c r="K62" i="1"/>
  <c r="J64" i="1" s="1"/>
  <c r="L66" i="1"/>
  <c r="N6" i="1" l="1"/>
  <c r="N4" i="1"/>
  <c r="F6" i="1"/>
  <c r="F4" i="1"/>
  <c r="F25" i="1"/>
  <c r="F32" i="1"/>
  <c r="K64" i="1"/>
  <c r="L64" i="1"/>
  <c r="L67" i="1"/>
  <c r="L68" i="1"/>
  <c r="L69" i="1"/>
  <c r="L70" i="1"/>
  <c r="N35" i="1" l="1"/>
  <c r="N25" i="1" l="1"/>
  <c r="N32" i="1"/>
</calcChain>
</file>

<file path=xl/sharedStrings.xml><?xml version="1.0" encoding="utf-8"?>
<sst xmlns="http://schemas.openxmlformats.org/spreadsheetml/2006/main" count="274" uniqueCount="134">
  <si>
    <t>US Imperial</t>
  </si>
  <si>
    <t>Parameter</t>
  </si>
  <si>
    <t>term</t>
  </si>
  <si>
    <t>Unit</t>
  </si>
  <si>
    <t>value</t>
  </si>
  <si>
    <t>Notes</t>
  </si>
  <si>
    <t>Instructions</t>
  </si>
  <si>
    <t>Power</t>
  </si>
  <si>
    <t>P</t>
  </si>
  <si>
    <t>hp</t>
  </si>
  <si>
    <t>Metric Unit System</t>
  </si>
  <si>
    <t>W</t>
  </si>
  <si>
    <t>Necessary input by user</t>
  </si>
  <si>
    <t>Force</t>
  </si>
  <si>
    <t>lb</t>
  </si>
  <si>
    <t>N</t>
  </si>
  <si>
    <t>input from dropdown</t>
  </si>
  <si>
    <t>Tangential Force</t>
  </si>
  <si>
    <t>Wt</t>
  </si>
  <si>
    <t>Important information</t>
  </si>
  <si>
    <t>Torque</t>
  </si>
  <si>
    <t>T</t>
  </si>
  <si>
    <t>lb-ft</t>
  </si>
  <si>
    <t>N.m</t>
  </si>
  <si>
    <t>Rotational speed</t>
  </si>
  <si>
    <t>n</t>
  </si>
  <si>
    <t>RPM</t>
  </si>
  <si>
    <t>Tangential velocity</t>
  </si>
  <si>
    <t>vt</t>
  </si>
  <si>
    <t>ft/min</t>
  </si>
  <si>
    <t>m/s</t>
  </si>
  <si>
    <t>Power Source Type</t>
  </si>
  <si>
    <t>Uniform</t>
  </si>
  <si>
    <t>Dropdown</t>
  </si>
  <si>
    <t>Driven Mechansim Type</t>
  </si>
  <si>
    <t>Moderate shock</t>
  </si>
  <si>
    <t>Gearing Condition</t>
  </si>
  <si>
    <t>Commercial enclosed gear unit</t>
  </si>
  <si>
    <t>Design Parameters</t>
  </si>
  <si>
    <t>Pressure angle</t>
  </si>
  <si>
    <t>phi</t>
  </si>
  <si>
    <t>degree</t>
  </si>
  <si>
    <t>Pitch diameter</t>
  </si>
  <si>
    <t>D</t>
  </si>
  <si>
    <t>in</t>
  </si>
  <si>
    <t>Dp</t>
  </si>
  <si>
    <t>mm</t>
  </si>
  <si>
    <t>Base diameter</t>
  </si>
  <si>
    <t>Number of teeth</t>
  </si>
  <si>
    <t>Diametrical Pitch</t>
  </si>
  <si>
    <t>Pd</t>
  </si>
  <si>
    <t>1/in</t>
  </si>
  <si>
    <t>Module</t>
  </si>
  <si>
    <t>m</t>
  </si>
  <si>
    <t>Face width</t>
  </si>
  <si>
    <t>F</t>
  </si>
  <si>
    <t>Geometry Factor</t>
  </si>
  <si>
    <t>J</t>
  </si>
  <si>
    <t>Figure 9-10 p. 376</t>
  </si>
  <si>
    <t>AGMA number</t>
  </si>
  <si>
    <t>Av</t>
  </si>
  <si>
    <t>I</t>
  </si>
  <si>
    <t>Figure 9-17 p.388</t>
  </si>
  <si>
    <t>Penion Diameter</t>
  </si>
  <si>
    <t>Penion diameter</t>
  </si>
  <si>
    <t>Contact Stress Number</t>
  </si>
  <si>
    <t>Sc</t>
  </si>
  <si>
    <t>Cp</t>
  </si>
  <si>
    <t>Pinion</t>
  </si>
  <si>
    <t>Poisson Ratio</t>
  </si>
  <si>
    <t>vp</t>
  </si>
  <si>
    <t>Table 9-7 p.387</t>
  </si>
  <si>
    <t>Elastic Modulus</t>
  </si>
  <si>
    <t>Ep</t>
  </si>
  <si>
    <t>psi</t>
  </si>
  <si>
    <t>Mpa</t>
  </si>
  <si>
    <t>Gear</t>
  </si>
  <si>
    <t>vg</t>
  </si>
  <si>
    <t>Eg</t>
  </si>
  <si>
    <t>MPa</t>
  </si>
  <si>
    <t>Bending Stress Number</t>
  </si>
  <si>
    <t>St</t>
  </si>
  <si>
    <t>Overload factor for bending strength</t>
  </si>
  <si>
    <t>Ko</t>
  </si>
  <si>
    <t>Size factor for bending strength</t>
  </si>
  <si>
    <t>Ks</t>
  </si>
  <si>
    <t>Load distribution factor for bending stress</t>
  </si>
  <si>
    <t>Km</t>
  </si>
  <si>
    <t>Rim thickness factor</t>
  </si>
  <si>
    <t>KB</t>
  </si>
  <si>
    <t>dynamic factor for bending strength</t>
  </si>
  <si>
    <t>Kv</t>
  </si>
  <si>
    <t>Design lif</t>
  </si>
  <si>
    <t>L</t>
  </si>
  <si>
    <t>hr</t>
  </si>
  <si>
    <t>Number of load application</t>
  </si>
  <si>
    <t>q</t>
  </si>
  <si>
    <t>Expected Number od cycles</t>
  </si>
  <si>
    <t>Nc</t>
  </si>
  <si>
    <t>cycles</t>
  </si>
  <si>
    <t>Table 9-1 Suggested Ko Factors p. 378</t>
  </si>
  <si>
    <t>Driven machine</t>
  </si>
  <si>
    <t>power source</t>
  </si>
  <si>
    <t>Light shock</t>
  </si>
  <si>
    <t>Heavy shock</t>
  </si>
  <si>
    <t>Table 9-2 Suggested factors p.379</t>
  </si>
  <si>
    <t>Table 9-2 Suggested Size factors p.379</t>
  </si>
  <si>
    <t>Diametrical pitch Pd</t>
  </si>
  <si>
    <t>Metric module, m</t>
  </si>
  <si>
    <t>Size factor</t>
  </si>
  <si>
    <t>formulas for Pinion porportion factor, Cpf (Figure 9-12 p.379)</t>
  </si>
  <si>
    <t>Face Width</t>
  </si>
  <si>
    <t>F/Dp</t>
  </si>
  <si>
    <t>Cp for K=&lt;1"</t>
  </si>
  <si>
    <t>Cp for 1" &lt;K&lt; 15"</t>
  </si>
  <si>
    <t>Cp for K=&lt;25.4mm</t>
  </si>
  <si>
    <t>Cp for 25.4&lt;K&lt;381mm</t>
  </si>
  <si>
    <t>formulas for mesh alignment factor, Cma (Figure 9-13 p.380)</t>
  </si>
  <si>
    <t>Face Width (in)</t>
  </si>
  <si>
    <t>The face width persumably must be changed to inches for coherent ansers</t>
  </si>
  <si>
    <t>Open gearing</t>
  </si>
  <si>
    <t>0.247+0.0167*F-0.765*10^(-4)*F^2</t>
  </si>
  <si>
    <t>0.127+0.0158*F-0.926*10(-4)*F^2</t>
  </si>
  <si>
    <t>Percision gear unit</t>
  </si>
  <si>
    <t>0.0675+0.0128*F-0.926*10^(-4)*F^2</t>
  </si>
  <si>
    <t>Extra-percision gear unit</t>
  </si>
  <si>
    <t>0.038+0.0102*F-0.822*10^(-4)*F^2</t>
  </si>
  <si>
    <t>Table 9-6 Analytical method for Kv p.384</t>
  </si>
  <si>
    <t>B=0.25*(Av-5)^(0.667)</t>
  </si>
  <si>
    <t>C=50+56*(1-B)</t>
  </si>
  <si>
    <t>Dynamic factor, Kv</t>
  </si>
  <si>
    <t>Kv=(C/(C+sqrt(Vt)))^(-B)</t>
  </si>
  <si>
    <t>Maximum Vt allowed for Av</t>
  </si>
  <si>
    <t>Vt,max=(C+(14-Av))^2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</si>
</sst>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Alignment="1">
      <alignment wrapText="1"/>
    </xf>
    <xf numFmtId="0" fontId="0" fillId="3" borderId="0" xfId="0" applyFill="1"/>
    <xf numFmtId="0" fontId="0" fillId="3" borderId="1" xfId="0" applyFill="1" applyBorder="1"/>
    <xf numFmtId="0" fontId="0" fillId="3" borderId="1" xfId="0" applyFill="1" applyBorder="1" applyAlignment="1">
      <alignment wrapText="1"/>
    </xf>
    <xf numFmtId="0" fontId="0" fillId="2" borderId="1" xfId="0" applyFill="1" applyBorder="1" applyAlignment="1">
      <alignment wrapText="1"/>
    </xf>
    <xf numFmtId="0" fontId="0" fillId="2" borderId="1" xfId="0" applyFill="1" applyBorder="1"/>
    <xf numFmtId="0" fontId="0" fillId="0" borderId="1" xfId="0" applyBorder="1" applyAlignment="1">
      <alignment wrapText="1"/>
    </xf>
    <xf numFmtId="0" fontId="0" fillId="0" borderId="1" xfId="0" applyBorder="1"/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0" fillId="0" borderId="2" xfId="0" applyBorder="1"/>
    <xf numFmtId="0" fontId="2" fillId="0" borderId="1" xfId="0" applyFont="1" applyBorder="1" applyAlignment="1">
      <alignment wrapText="1"/>
    </xf>
    <xf numFmtId="0" fontId="2" fillId="0" borderId="1" xfId="0" applyFont="1" applyBorder="1"/>
    <xf numFmtId="0" fontId="2" fillId="0" borderId="2" xfId="0" applyFont="1" applyBorder="1"/>
    <xf numFmtId="0" fontId="0" fillId="3" borderId="0" xfId="0" applyFill="1" applyAlignment="1">
      <alignment wrapText="1"/>
    </xf>
    <xf numFmtId="0" fontId="1" fillId="4" borderId="1" xfId="0" applyFont="1" applyFill="1" applyBorder="1" applyAlignment="1">
      <alignment wrapText="1"/>
    </xf>
    <xf numFmtId="0" fontId="0" fillId="4" borderId="1" xfId="0" applyFill="1" applyBorder="1"/>
    <xf numFmtId="0" fontId="0" fillId="4" borderId="2" xfId="0" applyFill="1" applyBorder="1"/>
    <xf numFmtId="0" fontId="2" fillId="0" borderId="5" xfId="0" applyFont="1" applyBorder="1"/>
    <xf numFmtId="0" fontId="0" fillId="0" borderId="6" xfId="0" applyBorder="1"/>
    <xf numFmtId="0" fontId="0" fillId="0" borderId="7" xfId="0" applyBorder="1"/>
    <xf numFmtId="0" fontId="0" fillId="0" borderId="5" xfId="0" applyBorder="1"/>
    <xf numFmtId="0" fontId="0" fillId="0" borderId="8" xfId="0" applyBorder="1"/>
    <xf numFmtId="0" fontId="2" fillId="0" borderId="9" xfId="0" applyFont="1" applyBorder="1" applyAlignment="1">
      <alignment wrapText="1"/>
    </xf>
    <xf numFmtId="0" fontId="0" fillId="4" borderId="10" xfId="0" applyFill="1" applyBorder="1" applyAlignment="1">
      <alignment wrapText="1"/>
    </xf>
    <xf numFmtId="0" fontId="0" fillId="0" borderId="10" xfId="0" applyBorder="1" applyAlignment="1">
      <alignment wrapText="1"/>
    </xf>
    <xf numFmtId="0" fontId="0" fillId="4" borderId="1" xfId="0" applyFill="1" applyBorder="1" applyAlignment="1">
      <alignment wrapText="1"/>
    </xf>
    <xf numFmtId="0" fontId="0" fillId="5" borderId="0" xfId="0" applyFill="1"/>
    <xf numFmtId="0" fontId="1" fillId="6" borderId="1" xfId="0" applyFont="1" applyFill="1" applyBorder="1" applyAlignment="1">
      <alignment wrapText="1"/>
    </xf>
    <xf numFmtId="0" fontId="0" fillId="6" borderId="1" xfId="0" applyFill="1" applyBorder="1"/>
    <xf numFmtId="0" fontId="0" fillId="6" borderId="2" xfId="0" applyFill="1" applyBorder="1"/>
    <xf numFmtId="0" fontId="0" fillId="6" borderId="10" xfId="0" applyFill="1" applyBorder="1" applyAlignment="1">
      <alignment wrapText="1"/>
    </xf>
    <xf numFmtId="0" fontId="0" fillId="6" borderId="1" xfId="0" applyFill="1" applyBorder="1" applyAlignment="1">
      <alignment wrapText="1"/>
    </xf>
    <xf numFmtId="0" fontId="2" fillId="0" borderId="4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" fillId="0" borderId="0" xfId="0" applyFont="1"/>
    <xf numFmtId="0" fontId="1" fillId="6" borderId="1" xfId="0" applyFont="1" applyFill="1" applyBorder="1"/>
    <xf numFmtId="0" fontId="1" fillId="4" borderId="1" xfId="0" applyFont="1" applyFill="1" applyBorder="1"/>
    <xf numFmtId="0" fontId="3" fillId="0" borderId="1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7" borderId="1" xfId="0" applyFont="1" applyFill="1" applyBorder="1" applyAlignment="1">
      <alignment wrapText="1"/>
    </xf>
    <xf numFmtId="0" fontId="0" fillId="7" borderId="1" xfId="0" applyFill="1" applyBorder="1"/>
    <xf numFmtId="0" fontId="0" fillId="7" borderId="2" xfId="0" applyFill="1" applyBorder="1"/>
    <xf numFmtId="0" fontId="0" fillId="7" borderId="10" xfId="0" applyFill="1" applyBorder="1" applyAlignment="1">
      <alignment wrapText="1"/>
    </xf>
    <xf numFmtId="0" fontId="0" fillId="7" borderId="11" xfId="0" applyFill="1" applyBorder="1" applyAlignment="1">
      <alignment wrapText="1"/>
    </xf>
    <xf numFmtId="0" fontId="1" fillId="7" borderId="1" xfId="0" applyFont="1" applyFill="1" applyBorder="1"/>
    <xf numFmtId="0" fontId="2" fillId="0" borderId="2" xfId="0" applyFont="1" applyBorder="1" applyAlignment="1">
      <alignment horizontal="center"/>
    </xf>
    <xf numFmtId="0" fontId="6" fillId="0" borderId="0" xfId="0" applyFont="1"/>
    <xf numFmtId="0" fontId="4" fillId="0" borderId="1" xfId="0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R78"/>
  <sheetViews>
    <sheetView tabSelected="1" zoomScale="76" zoomScaleNormal="70" workbookViewId="0">
      <selection activeCell="F18" sqref="F18"/>
    </sheetView>
  </sheetViews>
  <sheetFormatPr defaultRowHeight="15" x14ac:dyDescent="0.25"/>
  <cols>
    <col min="1" max="1" width="14" customWidth="1"/>
    <col min="2" max="2" width="23.7109375" customWidth="1"/>
    <col min="3" max="3" width="26.42578125" style="1" customWidth="1"/>
    <col min="4" max="4" width="11" customWidth="1"/>
    <col min="5" max="5" width="15.5703125" customWidth="1"/>
    <col min="6" max="6" width="21.5703125" style="1" customWidth="1"/>
    <col min="7" max="8" width="19.5703125" customWidth="1"/>
    <col min="9" max="9" width="18.28515625" style="28" customWidth="1"/>
    <col min="10" max="10" width="29.85546875" customWidth="1"/>
    <col min="11" max="11" width="23.7109375" customWidth="1"/>
    <col min="12" max="12" width="12.85546875" customWidth="1"/>
    <col min="13" max="13" width="10.140625" customWidth="1"/>
    <col min="14" max="14" width="16.85546875" customWidth="1"/>
    <col min="15" max="15" width="18.7109375" customWidth="1"/>
    <col min="16" max="16" width="9.140625" style="28" customWidth="1"/>
  </cols>
  <sheetData>
    <row r="1" spans="2:18" ht="15.75" customHeight="1" thickBot="1" x14ac:dyDescent="0.3">
      <c r="K1" s="1"/>
      <c r="N1" s="1"/>
    </row>
    <row r="2" spans="2:18" ht="24.75" customHeight="1" thickBot="1" x14ac:dyDescent="0.55000000000000004">
      <c r="B2" s="54" t="s">
        <v>0</v>
      </c>
      <c r="C2" s="12" t="s">
        <v>1</v>
      </c>
      <c r="D2" s="13" t="s">
        <v>2</v>
      </c>
      <c r="E2" s="14" t="s">
        <v>3</v>
      </c>
      <c r="F2" s="24" t="s">
        <v>4</v>
      </c>
      <c r="G2" s="19" t="s">
        <v>5</v>
      </c>
      <c r="J2" s="8"/>
      <c r="K2" s="12" t="s">
        <v>1</v>
      </c>
      <c r="L2" s="13" t="s">
        <v>2</v>
      </c>
      <c r="M2" s="14" t="s">
        <v>3</v>
      </c>
      <c r="N2" s="24" t="s">
        <v>4</v>
      </c>
      <c r="O2" s="19" t="s">
        <v>5</v>
      </c>
      <c r="Q2" s="50" t="s">
        <v>6</v>
      </c>
    </row>
    <row r="3" spans="2:18" ht="16.5" customHeight="1" thickTop="1" thickBot="1" x14ac:dyDescent="0.3">
      <c r="B3" s="52"/>
      <c r="C3" s="16" t="s">
        <v>7</v>
      </c>
      <c r="D3" s="17" t="s">
        <v>8</v>
      </c>
      <c r="E3" s="18" t="s">
        <v>9</v>
      </c>
      <c r="F3" s="25">
        <v>15</v>
      </c>
      <c r="G3" s="20"/>
      <c r="J3" s="51" t="s">
        <v>10</v>
      </c>
      <c r="K3" s="16" t="s">
        <v>7</v>
      </c>
      <c r="L3" s="17" t="s">
        <v>8</v>
      </c>
      <c r="M3" s="18" t="s">
        <v>11</v>
      </c>
      <c r="N3" s="25">
        <f>450</f>
        <v>450</v>
      </c>
      <c r="O3" s="20"/>
      <c r="Q3" s="38"/>
      <c r="R3" s="10" t="s">
        <v>12</v>
      </c>
    </row>
    <row r="4" spans="2:18" ht="16.5" customHeight="1" thickTop="1" thickBot="1" x14ac:dyDescent="0.3">
      <c r="B4" s="52"/>
      <c r="C4" s="29" t="s">
        <v>13</v>
      </c>
      <c r="D4" s="30" t="s">
        <v>11</v>
      </c>
      <c r="E4" s="31" t="s">
        <v>14</v>
      </c>
      <c r="F4" s="32">
        <f>F5/SIN(F14)</f>
        <v>0.30806885711475096</v>
      </c>
      <c r="G4" s="20"/>
      <c r="J4" s="52"/>
      <c r="K4" s="29" t="s">
        <v>13</v>
      </c>
      <c r="L4" s="30" t="s">
        <v>11</v>
      </c>
      <c r="M4" s="31" t="s">
        <v>15</v>
      </c>
      <c r="N4" s="32">
        <f>N5/COS(RADIANS(N14))</f>
        <v>2394.399988070802</v>
      </c>
      <c r="O4" s="20"/>
      <c r="Q4" s="48"/>
      <c r="R4" s="10" t="s">
        <v>16</v>
      </c>
    </row>
    <row r="5" spans="2:18" ht="20.25" customHeight="1" thickTop="1" thickBot="1" x14ac:dyDescent="0.3">
      <c r="B5" s="52"/>
      <c r="C5" s="29" t="s">
        <v>17</v>
      </c>
      <c r="D5" s="30" t="s">
        <v>18</v>
      </c>
      <c r="E5" s="31" t="s">
        <v>14</v>
      </c>
      <c r="F5" s="32">
        <f>F3/F8</f>
        <v>0.28125</v>
      </c>
      <c r="G5" s="20"/>
      <c r="J5" s="52"/>
      <c r="K5" s="29" t="s">
        <v>17</v>
      </c>
      <c r="L5" s="30" t="s">
        <v>18</v>
      </c>
      <c r="M5" s="31" t="s">
        <v>15</v>
      </c>
      <c r="N5" s="32">
        <f>N3/N8</f>
        <v>2250</v>
      </c>
      <c r="O5" s="20"/>
      <c r="Q5" s="37"/>
      <c r="R5" s="10" t="s">
        <v>19</v>
      </c>
    </row>
    <row r="6" spans="2:18" ht="23.25" customHeight="1" thickTop="1" thickBot="1" x14ac:dyDescent="0.3">
      <c r="B6" s="52"/>
      <c r="C6" s="9" t="s">
        <v>20</v>
      </c>
      <c r="D6" s="8" t="s">
        <v>21</v>
      </c>
      <c r="E6" s="11" t="s">
        <v>22</v>
      </c>
      <c r="F6" s="26">
        <f>F5*F15/2</f>
        <v>1.125</v>
      </c>
      <c r="G6" s="20"/>
      <c r="J6" s="52"/>
      <c r="K6" s="9" t="s">
        <v>20</v>
      </c>
      <c r="L6" s="8" t="s">
        <v>21</v>
      </c>
      <c r="M6" s="11" t="s">
        <v>23</v>
      </c>
      <c r="N6" s="26">
        <f>N5*N15/2000</f>
        <v>168.75</v>
      </c>
      <c r="O6" s="20"/>
    </row>
    <row r="7" spans="2:18" ht="16.5" customHeight="1" thickTop="1" thickBot="1" x14ac:dyDescent="0.3">
      <c r="B7" s="52"/>
      <c r="C7" s="16" t="s">
        <v>24</v>
      </c>
      <c r="D7" s="17" t="s">
        <v>25</v>
      </c>
      <c r="E7" s="18" t="s">
        <v>26</v>
      </c>
      <c r="F7" s="25">
        <f>80*12/(12*PI())</f>
        <v>25.464790894703256</v>
      </c>
      <c r="G7" s="21"/>
      <c r="J7" s="52"/>
      <c r="K7" s="16" t="s">
        <v>24</v>
      </c>
      <c r="L7" s="17" t="s">
        <v>25</v>
      </c>
      <c r="M7" s="18" t="s">
        <v>26</v>
      </c>
      <c r="N7" s="25">
        <f>80*12/(12*PI())</f>
        <v>25.464790894703256</v>
      </c>
      <c r="O7" s="21"/>
    </row>
    <row r="8" spans="2:18" ht="20.25" customHeight="1" thickTop="1" thickBot="1" x14ac:dyDescent="0.3">
      <c r="B8" s="52"/>
      <c r="C8" s="29" t="s">
        <v>27</v>
      </c>
      <c r="D8" s="30" t="s">
        <v>28</v>
      </c>
      <c r="E8" s="31" t="s">
        <v>29</v>
      </c>
      <c r="F8" s="32">
        <f>PI()*F15*F7/12</f>
        <v>53.333333333333336</v>
      </c>
      <c r="G8" s="22"/>
      <c r="J8" s="52"/>
      <c r="K8" s="29" t="s">
        <v>27</v>
      </c>
      <c r="L8" s="30" t="s">
        <v>28</v>
      </c>
      <c r="M8" s="31" t="s">
        <v>30</v>
      </c>
      <c r="N8" s="32">
        <f>N7/60*PI()*N15/1000</f>
        <v>0.2</v>
      </c>
      <c r="O8" s="22"/>
    </row>
    <row r="9" spans="2:18" ht="29.25" customHeight="1" thickTop="1" thickBot="1" x14ac:dyDescent="0.3">
      <c r="B9" s="52"/>
      <c r="C9" s="43" t="s">
        <v>31</v>
      </c>
      <c r="D9" s="44"/>
      <c r="E9" s="45"/>
      <c r="F9" s="46" t="s">
        <v>32</v>
      </c>
      <c r="G9" s="20"/>
      <c r="J9" s="52"/>
      <c r="K9" s="43" t="s">
        <v>31</v>
      </c>
      <c r="L9" s="44"/>
      <c r="M9" s="45" t="s">
        <v>33</v>
      </c>
      <c r="N9" s="46" t="s">
        <v>32</v>
      </c>
      <c r="O9" s="20"/>
    </row>
    <row r="10" spans="2:18" ht="29.25" customHeight="1" thickTop="1" thickBot="1" x14ac:dyDescent="0.3">
      <c r="B10" s="52"/>
      <c r="C10" s="43" t="s">
        <v>34</v>
      </c>
      <c r="D10" s="44"/>
      <c r="E10" s="45"/>
      <c r="F10" s="46" t="s">
        <v>35</v>
      </c>
      <c r="G10" s="23"/>
      <c r="J10" s="52"/>
      <c r="K10" s="43" t="s">
        <v>34</v>
      </c>
      <c r="L10" s="44"/>
      <c r="M10" s="45" t="s">
        <v>33</v>
      </c>
      <c r="N10" s="46" t="s">
        <v>35</v>
      </c>
      <c r="O10" s="23"/>
    </row>
    <row r="11" spans="2:18" ht="29.25" customHeight="1" thickTop="1" thickBot="1" x14ac:dyDescent="0.3">
      <c r="B11" s="53"/>
      <c r="C11" s="43" t="s">
        <v>36</v>
      </c>
      <c r="D11" s="44"/>
      <c r="E11" s="45"/>
      <c r="F11" s="47" t="s">
        <v>37</v>
      </c>
      <c r="G11" s="23"/>
      <c r="J11" s="53"/>
      <c r="K11" s="43" t="s">
        <v>36</v>
      </c>
      <c r="L11" s="44"/>
      <c r="M11" s="45" t="s">
        <v>33</v>
      </c>
      <c r="N11" s="47" t="s">
        <v>37</v>
      </c>
      <c r="O11" s="23"/>
    </row>
    <row r="12" spans="2:18" x14ac:dyDescent="0.25">
      <c r="K12" s="1"/>
      <c r="N12" s="1"/>
    </row>
    <row r="13" spans="2:18" x14ac:dyDescent="0.25">
      <c r="K13" s="1"/>
      <c r="N13" s="1"/>
    </row>
    <row r="14" spans="2:18" x14ac:dyDescent="0.25">
      <c r="B14" s="55" t="s">
        <v>38</v>
      </c>
      <c r="C14" s="27" t="s">
        <v>39</v>
      </c>
      <c r="D14" s="17" t="s">
        <v>40</v>
      </c>
      <c r="E14" s="17" t="s">
        <v>41</v>
      </c>
      <c r="F14" s="27">
        <v>20</v>
      </c>
      <c r="G14" s="8"/>
      <c r="J14" s="56" t="s">
        <v>38</v>
      </c>
      <c r="K14" s="27" t="s">
        <v>39</v>
      </c>
      <c r="L14" s="17" t="s">
        <v>40</v>
      </c>
      <c r="M14" s="17" t="s">
        <v>41</v>
      </c>
      <c r="N14" s="27">
        <v>20</v>
      </c>
      <c r="O14" s="8"/>
    </row>
    <row r="15" spans="2:18" x14ac:dyDescent="0.25">
      <c r="B15" s="52"/>
      <c r="C15" s="27" t="s">
        <v>42</v>
      </c>
      <c r="D15" s="17" t="s">
        <v>43</v>
      </c>
      <c r="E15" s="17" t="s">
        <v>44</v>
      </c>
      <c r="F15" s="27">
        <v>8</v>
      </c>
      <c r="G15" s="8"/>
      <c r="J15" s="52"/>
      <c r="K15" s="27" t="s">
        <v>42</v>
      </c>
      <c r="L15" s="17" t="s">
        <v>45</v>
      </c>
      <c r="M15" s="17" t="s">
        <v>46</v>
      </c>
      <c r="N15" s="27">
        <v>150</v>
      </c>
      <c r="O15" s="8"/>
    </row>
    <row r="16" spans="2:18" x14ac:dyDescent="0.25">
      <c r="B16" s="52"/>
      <c r="C16" s="7" t="s">
        <v>47</v>
      </c>
      <c r="D16" s="8"/>
      <c r="E16" s="8" t="s">
        <v>44</v>
      </c>
      <c r="F16" s="7">
        <f>F15*COS(F14)</f>
        <v>3.2646564945071357</v>
      </c>
      <c r="G16" s="8"/>
      <c r="J16" s="52"/>
      <c r="K16" s="7" t="s">
        <v>47</v>
      </c>
      <c r="L16" s="8"/>
      <c r="M16" s="8" t="s">
        <v>46</v>
      </c>
      <c r="N16" s="7">
        <f>N15*COS(RADIANS(N14))</f>
        <v>140.95389311788625</v>
      </c>
      <c r="O16" s="8"/>
    </row>
    <row r="17" spans="2:15" x14ac:dyDescent="0.25">
      <c r="B17" s="52"/>
      <c r="C17" s="27" t="s">
        <v>48</v>
      </c>
      <c r="D17" s="17"/>
      <c r="E17" s="17"/>
      <c r="F17" s="27">
        <v>5</v>
      </c>
      <c r="G17" s="8"/>
      <c r="J17" s="52"/>
      <c r="K17" s="27" t="s">
        <v>48</v>
      </c>
      <c r="L17" s="17" t="s">
        <v>15</v>
      </c>
      <c r="M17" s="17"/>
      <c r="N17" s="27">
        <v>30</v>
      </c>
      <c r="O17" s="8"/>
    </row>
    <row r="18" spans="2:15" x14ac:dyDescent="0.25">
      <c r="B18" s="52"/>
      <c r="C18" s="33" t="s">
        <v>49</v>
      </c>
      <c r="D18" s="30" t="s">
        <v>50</v>
      </c>
      <c r="E18" s="30" t="s">
        <v>51</v>
      </c>
      <c r="F18" s="33">
        <f>F17/F15</f>
        <v>0.625</v>
      </c>
      <c r="G18" s="8"/>
      <c r="J18" s="52"/>
      <c r="K18" s="33" t="s">
        <v>52</v>
      </c>
      <c r="L18" s="30" t="s">
        <v>53</v>
      </c>
      <c r="M18" s="30" t="s">
        <v>46</v>
      </c>
      <c r="N18" s="33">
        <f>N15/N17</f>
        <v>5</v>
      </c>
      <c r="O18" s="8"/>
    </row>
    <row r="19" spans="2:15" x14ac:dyDescent="0.25">
      <c r="B19" s="52"/>
      <c r="C19" s="27" t="s">
        <v>54</v>
      </c>
      <c r="D19" s="17" t="s">
        <v>55</v>
      </c>
      <c r="E19" s="17" t="s">
        <v>44</v>
      </c>
      <c r="F19" s="27">
        <v>1</v>
      </c>
      <c r="G19" s="8"/>
      <c r="J19" s="52"/>
      <c r="K19" s="27" t="s">
        <v>54</v>
      </c>
      <c r="L19" s="17" t="s">
        <v>55</v>
      </c>
      <c r="M19" s="17" t="s">
        <v>46</v>
      </c>
      <c r="N19" s="27">
        <f>12*N18</f>
        <v>60</v>
      </c>
      <c r="O19" s="8"/>
    </row>
    <row r="20" spans="2:15" x14ac:dyDescent="0.25">
      <c r="B20" s="52"/>
      <c r="C20" s="27" t="s">
        <v>56</v>
      </c>
      <c r="D20" s="17" t="s">
        <v>57</v>
      </c>
      <c r="E20" s="17"/>
      <c r="F20" s="27">
        <v>2</v>
      </c>
      <c r="G20" s="8" t="s">
        <v>58</v>
      </c>
      <c r="J20" s="52"/>
      <c r="K20" s="27" t="s">
        <v>56</v>
      </c>
      <c r="L20" s="17" t="s">
        <v>57</v>
      </c>
      <c r="M20" s="17"/>
      <c r="N20" s="27">
        <v>2</v>
      </c>
      <c r="O20" s="8" t="s">
        <v>58</v>
      </c>
    </row>
    <row r="21" spans="2:15" x14ac:dyDescent="0.25">
      <c r="B21" s="53"/>
      <c r="C21" s="27" t="s">
        <v>59</v>
      </c>
      <c r="D21" s="17" t="s">
        <v>60</v>
      </c>
      <c r="E21" s="17"/>
      <c r="F21" s="27">
        <v>11</v>
      </c>
      <c r="G21" s="8"/>
      <c r="J21" s="53"/>
      <c r="K21" s="27" t="s">
        <v>59</v>
      </c>
      <c r="L21" s="17" t="s">
        <v>60</v>
      </c>
      <c r="M21" s="17"/>
      <c r="N21" s="27">
        <v>11</v>
      </c>
      <c r="O21" s="8"/>
    </row>
    <row r="22" spans="2:15" ht="21" customHeight="1" x14ac:dyDescent="0.35">
      <c r="B22" s="34"/>
      <c r="C22" s="27" t="s">
        <v>56</v>
      </c>
      <c r="D22" s="17" t="s">
        <v>61</v>
      </c>
      <c r="E22" s="17"/>
      <c r="F22" s="27">
        <v>0.15</v>
      </c>
      <c r="G22" s="8" t="s">
        <v>62</v>
      </c>
      <c r="J22" s="35"/>
      <c r="K22" s="27" t="s">
        <v>56</v>
      </c>
      <c r="L22" s="17" t="s">
        <v>61</v>
      </c>
      <c r="M22" s="17"/>
      <c r="N22" s="27">
        <v>0.15</v>
      </c>
      <c r="O22" s="8" t="s">
        <v>62</v>
      </c>
    </row>
    <row r="23" spans="2:15" ht="15.75" customHeight="1" x14ac:dyDescent="0.35">
      <c r="B23" s="41"/>
      <c r="C23" s="27" t="s">
        <v>63</v>
      </c>
      <c r="D23" s="17" t="s">
        <v>45</v>
      </c>
      <c r="E23" s="17" t="s">
        <v>44</v>
      </c>
      <c r="F23" s="27">
        <v>4</v>
      </c>
      <c r="G23" s="8"/>
      <c r="J23" s="39"/>
      <c r="K23" s="27" t="s">
        <v>64</v>
      </c>
      <c r="L23" s="17" t="s">
        <v>45</v>
      </c>
      <c r="M23" s="17" t="s">
        <v>46</v>
      </c>
      <c r="N23" s="27">
        <v>100</v>
      </c>
      <c r="O23" s="8"/>
    </row>
    <row r="24" spans="2:15" ht="18.75" customHeight="1" x14ac:dyDescent="0.3">
      <c r="B24" s="42"/>
      <c r="J24" s="42"/>
      <c r="K24" s="1"/>
      <c r="N24" s="1"/>
    </row>
    <row r="25" spans="2:15" ht="18.75" customHeight="1" x14ac:dyDescent="0.3">
      <c r="B25" s="42"/>
      <c r="C25" s="33" t="s">
        <v>65</v>
      </c>
      <c r="D25" s="37" t="s">
        <v>66</v>
      </c>
      <c r="E25" s="30"/>
      <c r="F25" s="33" t="e">
        <f>F26*SQRT(F33*F34*F35*F36*F37/F19/F18/F22)</f>
        <v>#REF!</v>
      </c>
      <c r="J25" s="42"/>
      <c r="K25" s="33" t="s">
        <v>65</v>
      </c>
      <c r="L25" s="37" t="s">
        <v>66</v>
      </c>
      <c r="M25" s="30"/>
      <c r="N25" s="33">
        <f>N26*SQRT(N33*N34*N35*N36*N37/N19*N18/N22)</f>
        <v>201.02823267700347</v>
      </c>
    </row>
    <row r="26" spans="2:15" ht="18.75" customHeight="1" x14ac:dyDescent="0.3">
      <c r="B26" s="42"/>
      <c r="C26" s="7"/>
      <c r="D26" s="10" t="s">
        <v>67</v>
      </c>
      <c r="E26" s="8"/>
      <c r="F26" s="7">
        <f>SQRT(1/(PI()*(((1-F27^2)/F28)+((1-F29^2)/F30))))</f>
        <v>2290.6039063480116</v>
      </c>
      <c r="J26" s="42"/>
      <c r="K26" s="8"/>
      <c r="L26" s="10" t="s">
        <v>67</v>
      </c>
      <c r="M26" s="8"/>
      <c r="N26" s="7">
        <f>SQRT(1/(PI()*(((1-N27^2)/N28)+((1-N29^2)/N30))))</f>
        <v>187.02702577928443</v>
      </c>
    </row>
    <row r="27" spans="2:15" ht="18.75" customHeight="1" x14ac:dyDescent="0.3">
      <c r="B27" s="49" t="s">
        <v>68</v>
      </c>
      <c r="C27" s="27" t="s">
        <v>69</v>
      </c>
      <c r="D27" s="38" t="s">
        <v>70</v>
      </c>
      <c r="E27" s="17"/>
      <c r="F27" s="27">
        <v>0.3</v>
      </c>
      <c r="G27" s="20" t="s">
        <v>71</v>
      </c>
      <c r="J27" s="49" t="s">
        <v>68</v>
      </c>
      <c r="K27" s="27" t="s">
        <v>69</v>
      </c>
      <c r="L27" s="38" t="s">
        <v>70</v>
      </c>
      <c r="M27" s="17"/>
      <c r="N27" s="27">
        <v>0.3</v>
      </c>
      <c r="O27" s="20" t="s">
        <v>71</v>
      </c>
    </row>
    <row r="28" spans="2:15" ht="18.75" customHeight="1" x14ac:dyDescent="0.3">
      <c r="B28" s="49"/>
      <c r="C28" s="27" t="s">
        <v>72</v>
      </c>
      <c r="D28" s="38" t="s">
        <v>73</v>
      </c>
      <c r="E28" s="17" t="s">
        <v>74</v>
      </c>
      <c r="F28" s="27">
        <f>30*10^6</f>
        <v>30000000</v>
      </c>
      <c r="G28" s="20"/>
      <c r="J28" s="49"/>
      <c r="K28" s="27" t="s">
        <v>72</v>
      </c>
      <c r="L28" s="38" t="s">
        <v>73</v>
      </c>
      <c r="M28" s="17" t="s">
        <v>75</v>
      </c>
      <c r="N28" s="27">
        <f>2*10^5</f>
        <v>200000</v>
      </c>
      <c r="O28" s="20"/>
    </row>
    <row r="29" spans="2:15" ht="18.75" customHeight="1" x14ac:dyDescent="0.3">
      <c r="B29" s="49" t="s">
        <v>76</v>
      </c>
      <c r="C29" s="27" t="s">
        <v>69</v>
      </c>
      <c r="D29" s="38" t="s">
        <v>77</v>
      </c>
      <c r="E29" s="17"/>
      <c r="F29" s="27">
        <v>0.3</v>
      </c>
      <c r="G29" s="20"/>
      <c r="J29" s="49" t="s">
        <v>76</v>
      </c>
      <c r="K29" s="27" t="s">
        <v>69</v>
      </c>
      <c r="L29" s="38" t="s">
        <v>77</v>
      </c>
      <c r="M29" s="17"/>
      <c r="N29" s="27">
        <v>0.3</v>
      </c>
      <c r="O29" s="20"/>
    </row>
    <row r="30" spans="2:15" ht="18.75" customHeight="1" x14ac:dyDescent="0.3">
      <c r="B30" s="49"/>
      <c r="C30" s="27" t="s">
        <v>72</v>
      </c>
      <c r="D30" s="38" t="s">
        <v>78</v>
      </c>
      <c r="E30" s="17" t="s">
        <v>74</v>
      </c>
      <c r="F30" s="27">
        <f>30*10^6</f>
        <v>30000000</v>
      </c>
      <c r="G30" s="20"/>
      <c r="J30" s="49"/>
      <c r="K30" s="27" t="s">
        <v>72</v>
      </c>
      <c r="L30" s="38" t="s">
        <v>78</v>
      </c>
      <c r="M30" s="17" t="s">
        <v>79</v>
      </c>
      <c r="N30" s="27">
        <v>200000</v>
      </c>
      <c r="O30" s="20"/>
    </row>
    <row r="31" spans="2:15" x14ac:dyDescent="0.25">
      <c r="K31" s="1"/>
      <c r="N31" s="1"/>
    </row>
    <row r="32" spans="2:15" x14ac:dyDescent="0.25">
      <c r="C32" s="33" t="s">
        <v>80</v>
      </c>
      <c r="D32" s="37" t="s">
        <v>81</v>
      </c>
      <c r="E32" s="30"/>
      <c r="F32" s="33" t="e">
        <f>F5*F18*F33*F34*F35*F36*F37/F20/F19</f>
        <v>#REF!</v>
      </c>
      <c r="K32" s="33" t="s">
        <v>80</v>
      </c>
      <c r="L32" s="37" t="s">
        <v>81</v>
      </c>
      <c r="M32" s="30"/>
      <c r="N32" s="33">
        <f>N5*N18*N33*N34*N35*N36*N37/N20/N19</f>
        <v>194.96163384837092</v>
      </c>
    </row>
    <row r="33" spans="2:14" ht="29.25" customHeight="1" x14ac:dyDescent="0.25">
      <c r="C33" s="7" t="s">
        <v>82</v>
      </c>
      <c r="D33" s="10" t="s">
        <v>83</v>
      </c>
      <c r="E33" s="8"/>
      <c r="F33" s="7">
        <f>INDEX(C47:F49,MATCH(F9,B47:B49,0),MATCH(F10,C46:F46,0))</f>
        <v>1.5</v>
      </c>
      <c r="K33" s="7" t="s">
        <v>82</v>
      </c>
      <c r="L33" s="10" t="s">
        <v>83</v>
      </c>
      <c r="M33" s="8"/>
      <c r="N33" s="7">
        <f>INDEX(K47:N49,MATCH(N9,J47:J49,0),MATCH(N10,K46:N46,0))</f>
        <v>1.5</v>
      </c>
    </row>
    <row r="34" spans="2:14" ht="36.75" customHeight="1" x14ac:dyDescent="0.25">
      <c r="C34" s="7" t="s">
        <v>84</v>
      </c>
      <c r="D34" s="10" t="s">
        <v>85</v>
      </c>
      <c r="E34" s="8"/>
      <c r="F34" s="7" t="e">
        <f t="array" ref="F34">INDEX(D53:D58,MATCH(F18,B53:B58,-1)+1)</f>
        <v>#REF!</v>
      </c>
      <c r="K34" s="7" t="s">
        <v>84</v>
      </c>
      <c r="L34" s="10" t="s">
        <v>85</v>
      </c>
      <c r="M34" s="8"/>
      <c r="N34" s="7">
        <f t="array" ref="N34">INDEX(L53:L58,MATCH(N18,K53:K58,1)+1)</f>
        <v>1.05</v>
      </c>
    </row>
    <row r="35" spans="2:14" ht="52.5" customHeight="1" x14ac:dyDescent="0.25">
      <c r="C35" s="7" t="s">
        <v>86</v>
      </c>
      <c r="D35" s="10" t="s">
        <v>87</v>
      </c>
      <c r="E35" s="8"/>
      <c r="F35" s="7">
        <f>1+F60+INDEX(D67:D70,MATCH(F11,B67:B70,0))</f>
        <v>1.1427073999999999</v>
      </c>
      <c r="K35" s="7" t="s">
        <v>86</v>
      </c>
      <c r="L35" s="10" t="s">
        <v>87</v>
      </c>
      <c r="M35" s="8"/>
      <c r="N35" s="7">
        <f>1+IF(N19&lt;=25.4,K64,L64)+INDEX(L67:L70,MATCH(N11,J67:J70,0))</f>
        <v>1.2158336846673692</v>
      </c>
    </row>
    <row r="36" spans="2:14" ht="16.5" customHeight="1" x14ac:dyDescent="0.25">
      <c r="C36" s="7" t="s">
        <v>88</v>
      </c>
      <c r="D36" s="10" t="s">
        <v>89</v>
      </c>
      <c r="E36" s="8"/>
      <c r="F36" s="7">
        <v>1</v>
      </c>
      <c r="K36" s="7" t="s">
        <v>88</v>
      </c>
      <c r="L36" s="10" t="s">
        <v>89</v>
      </c>
      <c r="M36" s="8"/>
      <c r="N36" s="7">
        <v>1</v>
      </c>
    </row>
    <row r="37" spans="2:14" ht="37.5" customHeight="1" x14ac:dyDescent="0.25">
      <c r="C37" s="7" t="s">
        <v>90</v>
      </c>
      <c r="D37" s="10" t="s">
        <v>91</v>
      </c>
      <c r="E37" s="8"/>
      <c r="F37" s="7">
        <f>D77</f>
        <v>1.0999372527005833</v>
      </c>
      <c r="K37" s="7" t="s">
        <v>90</v>
      </c>
      <c r="L37" s="10" t="s">
        <v>91</v>
      </c>
      <c r="M37" s="8"/>
      <c r="N37" s="7">
        <f>L77</f>
        <v>1.0859833076114624</v>
      </c>
    </row>
    <row r="38" spans="2:14" x14ac:dyDescent="0.25">
      <c r="K38" s="1"/>
      <c r="L38" s="36"/>
      <c r="N38" s="1"/>
    </row>
    <row r="39" spans="2:14" x14ac:dyDescent="0.25">
      <c r="C39" s="7" t="s">
        <v>92</v>
      </c>
      <c r="D39" s="10" t="s">
        <v>93</v>
      </c>
      <c r="E39" s="8" t="s">
        <v>94</v>
      </c>
      <c r="F39" s="7">
        <v>4500</v>
      </c>
      <c r="K39" s="7" t="s">
        <v>92</v>
      </c>
      <c r="L39" s="10" t="s">
        <v>93</v>
      </c>
      <c r="M39" s="8" t="s">
        <v>94</v>
      </c>
      <c r="N39" s="7">
        <v>4500</v>
      </c>
    </row>
    <row r="40" spans="2:14" ht="30" customHeight="1" x14ac:dyDescent="0.25">
      <c r="C40" s="7" t="s">
        <v>95</v>
      </c>
      <c r="D40" s="10" t="s">
        <v>96</v>
      </c>
      <c r="E40" s="8"/>
      <c r="F40" s="7">
        <v>1</v>
      </c>
      <c r="K40" s="7" t="s">
        <v>95</v>
      </c>
      <c r="L40" s="10" t="s">
        <v>96</v>
      </c>
      <c r="M40" s="8"/>
      <c r="N40" s="7">
        <v>1</v>
      </c>
    </row>
    <row r="41" spans="2:14" ht="30" customHeight="1" x14ac:dyDescent="0.25">
      <c r="C41" s="33" t="s">
        <v>97</v>
      </c>
      <c r="D41" s="37" t="s">
        <v>98</v>
      </c>
      <c r="E41" s="30" t="s">
        <v>99</v>
      </c>
      <c r="F41" s="33">
        <f>60*F39*F40*F7</f>
        <v>6875493.5415698793</v>
      </c>
      <c r="K41" s="33" t="s">
        <v>97</v>
      </c>
      <c r="L41" s="37" t="s">
        <v>98</v>
      </c>
      <c r="M41" s="30" t="s">
        <v>99</v>
      </c>
      <c r="N41" s="33">
        <f>60*N39*N40*N7</f>
        <v>6875493.5415698793</v>
      </c>
    </row>
    <row r="42" spans="2:14" x14ac:dyDescent="0.25">
      <c r="D42" s="36"/>
      <c r="K42" s="1"/>
      <c r="L42" s="36"/>
      <c r="N42" s="1"/>
    </row>
    <row r="43" spans="2:14" x14ac:dyDescent="0.25">
      <c r="K43" s="1"/>
      <c r="N43" s="1"/>
    </row>
    <row r="44" spans="2:14" x14ac:dyDescent="0.25">
      <c r="B44" t="s">
        <v>100</v>
      </c>
      <c r="J44" t="s">
        <v>100</v>
      </c>
      <c r="K44" s="1"/>
      <c r="N44" s="1"/>
    </row>
    <row r="45" spans="2:14" x14ac:dyDescent="0.25">
      <c r="B45" s="3"/>
      <c r="C45" s="4" t="s">
        <v>101</v>
      </c>
      <c r="D45" s="3"/>
      <c r="E45" s="3"/>
      <c r="F45" s="4"/>
      <c r="J45" s="3"/>
      <c r="K45" s="4" t="s">
        <v>101</v>
      </c>
      <c r="L45" s="3"/>
      <c r="M45" s="3"/>
      <c r="N45" s="4"/>
    </row>
    <row r="46" spans="2:14" x14ac:dyDescent="0.25">
      <c r="B46" s="3" t="s">
        <v>102</v>
      </c>
      <c r="C46" s="4" t="s">
        <v>32</v>
      </c>
      <c r="D46" s="3" t="s">
        <v>103</v>
      </c>
      <c r="E46" s="3" t="s">
        <v>35</v>
      </c>
      <c r="F46" s="4" t="s">
        <v>104</v>
      </c>
      <c r="J46" s="3" t="s">
        <v>102</v>
      </c>
      <c r="K46" s="4" t="s">
        <v>32</v>
      </c>
      <c r="L46" s="3" t="s">
        <v>103</v>
      </c>
      <c r="M46" s="3" t="s">
        <v>35</v>
      </c>
      <c r="N46" s="4" t="s">
        <v>104</v>
      </c>
    </row>
    <row r="47" spans="2:14" x14ac:dyDescent="0.25">
      <c r="B47" s="3" t="s">
        <v>32</v>
      </c>
      <c r="C47" s="5">
        <v>1</v>
      </c>
      <c r="D47" s="6">
        <v>1.25</v>
      </c>
      <c r="E47" s="6">
        <v>1.5</v>
      </c>
      <c r="F47" s="5">
        <v>1.75</v>
      </c>
      <c r="J47" s="3" t="s">
        <v>32</v>
      </c>
      <c r="K47" s="5">
        <v>1</v>
      </c>
      <c r="L47" s="6">
        <v>1.25</v>
      </c>
      <c r="M47" s="6">
        <v>1.5</v>
      </c>
      <c r="N47" s="5">
        <v>1.75</v>
      </c>
    </row>
    <row r="48" spans="2:14" x14ac:dyDescent="0.25">
      <c r="B48" s="3" t="s">
        <v>103</v>
      </c>
      <c r="C48" s="5">
        <v>1.2</v>
      </c>
      <c r="D48" s="6">
        <v>1.4</v>
      </c>
      <c r="E48" s="6">
        <v>1.75</v>
      </c>
      <c r="F48" s="5">
        <v>2.25</v>
      </c>
      <c r="J48" s="3" t="s">
        <v>103</v>
      </c>
      <c r="K48" s="5">
        <v>1.2</v>
      </c>
      <c r="L48" s="6">
        <v>1.4</v>
      </c>
      <c r="M48" s="6">
        <v>1.75</v>
      </c>
      <c r="N48" s="5">
        <v>2.25</v>
      </c>
    </row>
    <row r="49" spans="2:14" x14ac:dyDescent="0.25">
      <c r="B49" s="3" t="s">
        <v>35</v>
      </c>
      <c r="C49" s="5">
        <v>1.3</v>
      </c>
      <c r="D49" s="6">
        <v>1.7</v>
      </c>
      <c r="E49" s="6">
        <v>2</v>
      </c>
      <c r="F49" s="5">
        <v>2.75</v>
      </c>
      <c r="J49" s="3" t="s">
        <v>35</v>
      </c>
      <c r="K49" s="5">
        <v>1.3</v>
      </c>
      <c r="L49" s="6">
        <v>1.7</v>
      </c>
      <c r="M49" s="6">
        <v>2</v>
      </c>
      <c r="N49" s="5">
        <v>2.75</v>
      </c>
    </row>
    <row r="50" spans="2:14" x14ac:dyDescent="0.25">
      <c r="K50" s="1"/>
      <c r="N50" s="1"/>
    </row>
    <row r="51" spans="2:14" x14ac:dyDescent="0.25">
      <c r="B51" s="2" t="s">
        <v>105</v>
      </c>
      <c r="J51" s="2" t="s">
        <v>106</v>
      </c>
      <c r="K51" s="1"/>
      <c r="N51" s="1"/>
    </row>
    <row r="52" spans="2:14" x14ac:dyDescent="0.25">
      <c r="B52" s="3" t="s">
        <v>107</v>
      </c>
      <c r="C52" s="4" t="s">
        <v>108</v>
      </c>
      <c r="D52" s="3" t="s">
        <v>109</v>
      </c>
      <c r="J52" s="3" t="s">
        <v>107</v>
      </c>
      <c r="K52" s="4" t="s">
        <v>108</v>
      </c>
      <c r="L52" s="3" t="s">
        <v>109</v>
      </c>
      <c r="N52" s="1"/>
    </row>
    <row r="53" spans="2:14" x14ac:dyDescent="0.25">
      <c r="B53" s="6">
        <v>1000</v>
      </c>
      <c r="C53" s="5">
        <v>0</v>
      </c>
      <c r="D53" s="6">
        <v>1</v>
      </c>
      <c r="J53" s="6">
        <v>1000</v>
      </c>
      <c r="K53" s="5">
        <v>0</v>
      </c>
      <c r="L53" s="6">
        <v>1</v>
      </c>
      <c r="N53" s="1"/>
    </row>
    <row r="54" spans="2:14" x14ac:dyDescent="0.25">
      <c r="B54" s="6">
        <v>5</v>
      </c>
      <c r="C54" s="5">
        <v>5</v>
      </c>
      <c r="D54" s="6">
        <v>1</v>
      </c>
      <c r="J54" s="6">
        <v>5</v>
      </c>
      <c r="K54" s="5">
        <v>5</v>
      </c>
      <c r="L54" s="6">
        <v>1</v>
      </c>
      <c r="N54" s="1"/>
    </row>
    <row r="55" spans="2:14" x14ac:dyDescent="0.25">
      <c r="B55" s="6">
        <v>4</v>
      </c>
      <c r="C55" s="5">
        <v>6</v>
      </c>
      <c r="D55" s="6">
        <v>1.05</v>
      </c>
      <c r="J55" s="6">
        <v>4</v>
      </c>
      <c r="K55" s="5">
        <v>6</v>
      </c>
      <c r="L55" s="6">
        <v>1.05</v>
      </c>
      <c r="N55" s="1"/>
    </row>
    <row r="56" spans="2:14" x14ac:dyDescent="0.25">
      <c r="B56" s="6">
        <v>3</v>
      </c>
      <c r="C56" s="5">
        <v>8</v>
      </c>
      <c r="D56" s="6">
        <v>1.1499999999999999</v>
      </c>
      <c r="J56" s="6">
        <v>3</v>
      </c>
      <c r="K56" s="5">
        <v>8</v>
      </c>
      <c r="L56" s="6">
        <v>1.1499999999999999</v>
      </c>
      <c r="N56" s="1"/>
    </row>
    <row r="57" spans="2:14" x14ac:dyDescent="0.25">
      <c r="B57" s="6">
        <v>2</v>
      </c>
      <c r="C57" s="5">
        <v>12</v>
      </c>
      <c r="D57" s="6">
        <v>1.25</v>
      </c>
      <c r="J57" s="6">
        <v>2</v>
      </c>
      <c r="K57" s="5">
        <v>12</v>
      </c>
      <c r="L57" s="6">
        <v>1.25</v>
      </c>
      <c r="N57" s="1"/>
    </row>
    <row r="58" spans="2:14" x14ac:dyDescent="0.25">
      <c r="B58" s="6">
        <v>1.25</v>
      </c>
      <c r="C58" s="5">
        <v>20</v>
      </c>
      <c r="D58" s="6">
        <v>1.4</v>
      </c>
      <c r="J58" s="6">
        <v>1.25</v>
      </c>
      <c r="K58" s="5">
        <v>20</v>
      </c>
      <c r="L58" s="6">
        <v>1.4</v>
      </c>
      <c r="N58" s="1"/>
    </row>
    <row r="59" spans="2:14" x14ac:dyDescent="0.25">
      <c r="K59" s="1"/>
      <c r="N59" s="1"/>
    </row>
    <row r="60" spans="2:14" x14ac:dyDescent="0.25">
      <c r="B60" t="s">
        <v>110</v>
      </c>
      <c r="J60" t="s">
        <v>110</v>
      </c>
      <c r="K60" s="1"/>
      <c r="M60" s="36"/>
      <c r="N60" s="40"/>
    </row>
    <row r="61" spans="2:14" x14ac:dyDescent="0.25">
      <c r="B61" s="3" t="s">
        <v>63</v>
      </c>
      <c r="C61" s="4">
        <f>F15</f>
        <v>8</v>
      </c>
      <c r="D61" s="3"/>
      <c r="J61" s="3" t="s">
        <v>63</v>
      </c>
      <c r="K61" s="4">
        <f>N23</f>
        <v>100</v>
      </c>
      <c r="L61" s="3"/>
      <c r="N61" s="1"/>
    </row>
    <row r="62" spans="2:14" x14ac:dyDescent="0.25">
      <c r="B62" s="3" t="s">
        <v>111</v>
      </c>
      <c r="C62" s="4">
        <f>F19</f>
        <v>1</v>
      </c>
      <c r="D62" s="3"/>
      <c r="J62" s="3" t="s">
        <v>111</v>
      </c>
      <c r="K62" s="4">
        <f>N19</f>
        <v>60</v>
      </c>
      <c r="L62" s="3"/>
      <c r="N62" s="1"/>
    </row>
    <row r="63" spans="2:14" ht="45" customHeight="1" x14ac:dyDescent="0.25">
      <c r="B63" s="3" t="s">
        <v>112</v>
      </c>
      <c r="C63" s="4" t="s">
        <v>113</v>
      </c>
      <c r="D63" s="4" t="s">
        <v>114</v>
      </c>
      <c r="J63" s="3" t="s">
        <v>112</v>
      </c>
      <c r="K63" s="4" t="s">
        <v>115</v>
      </c>
      <c r="L63" s="4" t="s">
        <v>116</v>
      </c>
      <c r="N63" s="1"/>
    </row>
    <row r="64" spans="2:14" x14ac:dyDescent="0.25">
      <c r="B64" s="6">
        <f>C62/C61</f>
        <v>0.125</v>
      </c>
      <c r="C64" s="5" t="s">
        <v>43</v>
      </c>
      <c r="D64" s="6">
        <f>IF(B64&lt;0.5,0.5/10-0.0375+0.0125*(C$62),B64/10-0.0375+0.0125*(C$62))</f>
        <v>2.5000000000000005E-2</v>
      </c>
      <c r="J64" s="6">
        <f>K62/K61</f>
        <v>0.6</v>
      </c>
      <c r="K64" s="5">
        <f>IF(J64&lt;0.5,0.5/10-0.025,J64/10-0.025)</f>
        <v>3.4999999999999996E-2</v>
      </c>
      <c r="L64" s="6">
        <f>IF(J64&lt;0.5,0.5/10-0.0375+0.0125*(K$62/25.4),J64/10-0.0375+0.0125*(K$62/25.4))</f>
        <v>5.2027559055118112E-2</v>
      </c>
      <c r="N64" s="1"/>
    </row>
    <row r="65" spans="2:14" x14ac:dyDescent="0.25">
      <c r="K65" s="1"/>
      <c r="N65" s="1"/>
    </row>
    <row r="66" spans="2:14" ht="50.25" customHeight="1" x14ac:dyDescent="0.25">
      <c r="B66" s="4" t="s">
        <v>117</v>
      </c>
      <c r="C66" s="4" t="s">
        <v>111</v>
      </c>
      <c r="D66" s="3">
        <f>F19</f>
        <v>1</v>
      </c>
      <c r="J66" s="4" t="s">
        <v>117</v>
      </c>
      <c r="K66" s="4" t="s">
        <v>118</v>
      </c>
      <c r="L66" s="3">
        <f>N19/25.4</f>
        <v>2.3622047244094491</v>
      </c>
      <c r="N66" s="1" t="s">
        <v>119</v>
      </c>
    </row>
    <row r="67" spans="2:14" ht="35.25" customHeight="1" x14ac:dyDescent="0.25">
      <c r="B67" s="5" t="s">
        <v>120</v>
      </c>
      <c r="C67" s="5" t="s">
        <v>121</v>
      </c>
      <c r="D67" s="6">
        <f>0.247+0.0167*D66-0.765*10^(-4)*D66^2</f>
        <v>0.26362350000000001</v>
      </c>
      <c r="J67" s="5" t="s">
        <v>120</v>
      </c>
      <c r="K67" s="5" t="s">
        <v>121</v>
      </c>
      <c r="L67" s="6">
        <f>0.247+0.0167*L66-0.765*10^(-4)*L66^2</f>
        <v>0.28602194804389608</v>
      </c>
      <c r="N67" s="1"/>
    </row>
    <row r="68" spans="2:14" ht="39.75" customHeight="1" x14ac:dyDescent="0.25">
      <c r="B68" s="5" t="s">
        <v>37</v>
      </c>
      <c r="C68" s="5" t="s">
        <v>122</v>
      </c>
      <c r="D68" s="6">
        <f>0.127+0.0158*D66-0.926*10^(-4)*D66^2</f>
        <v>0.14270740000000001</v>
      </c>
      <c r="J68" s="5" t="s">
        <v>37</v>
      </c>
      <c r="K68" s="5" t="s">
        <v>122</v>
      </c>
      <c r="L68" s="6">
        <f>0.127+0.0158*L66-0.926*10^(-4)*L66^2</f>
        <v>0.16380612561225122</v>
      </c>
      <c r="N68" s="1"/>
    </row>
    <row r="69" spans="2:14" ht="33.75" customHeight="1" x14ac:dyDescent="0.25">
      <c r="B69" s="5" t="s">
        <v>123</v>
      </c>
      <c r="C69" s="5" t="s">
        <v>124</v>
      </c>
      <c r="D69" s="6">
        <f>0.0675+0.0128*D66-0.926*10^(-4)*D66^2</f>
        <v>8.0207400000000012E-2</v>
      </c>
      <c r="J69" s="5" t="s">
        <v>123</v>
      </c>
      <c r="K69" s="5" t="s">
        <v>124</v>
      </c>
      <c r="L69" s="6">
        <f>0.0675+0.0128*L66-0.926*10^(-4)*L66^2</f>
        <v>9.7219511439022896E-2</v>
      </c>
      <c r="N69" s="1"/>
    </row>
    <row r="70" spans="2:14" ht="34.5" customHeight="1" x14ac:dyDescent="0.25">
      <c r="B70" s="5" t="s">
        <v>125</v>
      </c>
      <c r="C70" s="5" t="s">
        <v>126</v>
      </c>
      <c r="D70" s="6">
        <f>0.038+0.0102*D66-0.822*10^(-4)*D66^2</f>
        <v>4.8117800000000002E-2</v>
      </c>
      <c r="J70" s="5" t="s">
        <v>125</v>
      </c>
      <c r="K70" s="5" t="s">
        <v>126</v>
      </c>
      <c r="L70" s="6">
        <f>0.038+0.0102*L66-0.822*10^(-4)*L66^2</f>
        <v>6.1635811271622543E-2</v>
      </c>
      <c r="N70" s="1"/>
    </row>
    <row r="71" spans="2:14" x14ac:dyDescent="0.25">
      <c r="K71" s="1"/>
      <c r="N71" s="1"/>
    </row>
    <row r="72" spans="2:14" x14ac:dyDescent="0.25">
      <c r="K72" s="1"/>
      <c r="N72" s="1"/>
    </row>
    <row r="73" spans="2:14" ht="42" customHeight="1" x14ac:dyDescent="0.25">
      <c r="B73" s="15" t="s">
        <v>127</v>
      </c>
      <c r="J73" s="15" t="s">
        <v>127</v>
      </c>
      <c r="K73" s="1"/>
      <c r="N73" s="1"/>
    </row>
    <row r="74" spans="2:14" x14ac:dyDescent="0.25">
      <c r="B74" s="6" t="s">
        <v>59</v>
      </c>
      <c r="C74" s="5" t="s">
        <v>60</v>
      </c>
      <c r="D74" s="6">
        <f>F21</f>
        <v>11</v>
      </c>
      <c r="J74" s="6" t="s">
        <v>59</v>
      </c>
      <c r="K74" s="5" t="s">
        <v>60</v>
      </c>
      <c r="L74" s="6">
        <f>N21</f>
        <v>11</v>
      </c>
      <c r="N74" s="1"/>
    </row>
    <row r="75" spans="2:14" ht="33" customHeight="1" x14ac:dyDescent="0.25">
      <c r="B75" s="6"/>
      <c r="C75" s="5" t="s">
        <v>128</v>
      </c>
      <c r="D75" s="6">
        <f>0.25*(D74-5)^(0.667)</f>
        <v>0.82597498110024004</v>
      </c>
      <c r="J75" s="6"/>
      <c r="K75" s="5" t="s">
        <v>128</v>
      </c>
      <c r="L75" s="6">
        <f>0.25*(L74-5)^(0.667)</f>
        <v>0.82597498110024004</v>
      </c>
      <c r="N75" s="1"/>
    </row>
    <row r="76" spans="2:14" ht="21.75" customHeight="1" x14ac:dyDescent="0.25">
      <c r="B76" s="6"/>
      <c r="C76" s="5" t="s">
        <v>129</v>
      </c>
      <c r="D76" s="6">
        <f>50+56*(1-D75)</f>
        <v>59.745401058386562</v>
      </c>
      <c r="J76" s="6"/>
      <c r="K76" s="5" t="s">
        <v>129</v>
      </c>
      <c r="L76" s="6">
        <f>3.5637+3.9914*(1-L75)</f>
        <v>4.258303460436502</v>
      </c>
      <c r="N76" s="1"/>
    </row>
    <row r="77" spans="2:14" ht="36.75" customHeight="1" x14ac:dyDescent="0.25">
      <c r="B77" s="6" t="s">
        <v>130</v>
      </c>
      <c r="C77" s="5" t="s">
        <v>131</v>
      </c>
      <c r="D77" s="6">
        <f>(D76/(D76+SQRT(F8)))^(-D75)</f>
        <v>1.0999372527005833</v>
      </c>
      <c r="J77" s="6" t="s">
        <v>130</v>
      </c>
      <c r="K77" s="5" t="s">
        <v>131</v>
      </c>
      <c r="L77" s="6">
        <f>(L76/(L76+SQRT(N8)))^(-L75)</f>
        <v>1.0859833076114624</v>
      </c>
      <c r="N77" s="1"/>
    </row>
    <row r="78" spans="2:14" ht="33" customHeight="1" x14ac:dyDescent="0.25">
      <c r="B78" s="6" t="s">
        <v>132</v>
      </c>
      <c r="C78" s="5" t="s">
        <v>133</v>
      </c>
      <c r="D78" s="6">
        <f>(D76+(14-D74))^2</f>
        <v>3936.9853539777778</v>
      </c>
      <c r="J78" s="6" t="s">
        <v>132</v>
      </c>
      <c r="K78" s="5" t="s">
        <v>133</v>
      </c>
      <c r="L78" s="6">
        <f>(L76+(14-L74))^2</f>
        <v>52.682969123784503</v>
      </c>
      <c r="N78" s="1"/>
    </row>
  </sheetData>
  <mergeCells count="4">
    <mergeCell ref="J3:J11"/>
    <mergeCell ref="B2:B11"/>
    <mergeCell ref="B14:B21"/>
    <mergeCell ref="J14:J21"/>
  </mergeCells>
  <dataValidations disablePrompts="1" count="3">
    <dataValidation type="list" allowBlank="1" showInputMessage="1" showErrorMessage="1" sqref="F9 N9" xr:uid="{00000000-0002-0000-0000-000000000000}">
      <formula1>"Uniform,Light shock,Moderate shock"</formula1>
    </dataValidation>
    <dataValidation type="list" allowBlank="1" showInputMessage="1" showErrorMessage="1" sqref="F10 N10" xr:uid="{00000000-0002-0000-0000-000001000000}">
      <formula1>"Uniform, Light shock, Moderate shock, Heavy shock"</formula1>
    </dataValidation>
    <dataValidation type="list" allowBlank="1" showInputMessage="1" showErrorMessage="1" sqref="F11 N11" xr:uid="{00000000-0002-0000-0000-000002000000}">
      <formula1>"Open gearing, Commercial enclosed gear unit, Percision enclosed gear unit, Extra-percision gear unit"</formula1>
    </dataValidation>
  </dataValidation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Spur Gear Design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Ab</dc:creator>
  <cp:lastModifiedBy>Ali Abufutaim</cp:lastModifiedBy>
  <dcterms:created xsi:type="dcterms:W3CDTF">2015-06-05T18:17:20Z</dcterms:created>
  <dcterms:modified xsi:type="dcterms:W3CDTF">2025-10-05T13:25:30Z</dcterms:modified>
</cp:coreProperties>
</file>